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<sst xmlns="http://schemas.openxmlformats.org/spreadsheetml/2006/main" count="123" uniqueCount="78">
  <si>
    <t xml:space="preserve">Rentabilidad por cliente</t>
  </si>
  <si>
    <t xml:space="preserve">Pones cada cliente con su facturación, su margen, sus días de cobro y las horas que consume, y la hoja te dice lo que deja de verdad después de las tres restas.</t>
  </si>
  <si>
    <t xml:space="preserve">   Escribes tú en las celdas azules.   ·   Lo gris lo calcula la hoja sola.   ·   Capítulo 17 · plantilla 17.1 de 44   ·   El detalle, en la hoja «Cómo se usa».</t>
  </si>
  <si>
    <t xml:space="preserve">Tus clientes   ·   escribe aquí sus nombres</t>
  </si>
  <si>
    <t xml:space="preserve">Facturación</t>
  </si>
  <si>
    <t xml:space="preserve">Margen %</t>
  </si>
  <si>
    <t xml:space="preserve">Margen bruto €</t>
  </si>
  <si>
    <t xml:space="preserve">Días de cobro</t>
  </si>
  <si>
    <t xml:space="preserve">Horas que consume</t>
  </si>
  <si>
    <t xml:space="preserve">Coste de servir</t>
  </si>
  <si>
    <t xml:space="preserve">Coste de financiar</t>
  </si>
  <si>
    <t xml:space="preserve">Lo que deja</t>
  </si>
  <si>
    <t xml:space="preserve">Sobre ventas</t>
  </si>
  <si>
    <t xml:space="preserve">Toda tu cartera</t>
  </si>
  <si>
    <t xml:space="preserve">LO QUE HAY QUE PONER ANTES DE QUE SALGAN LAS TRES RESTAS</t>
  </si>
  <si>
    <t xml:space="preserve">Tus dos parámetros</t>
  </si>
  <si>
    <t xml:space="preserve">Escribes tú</t>
  </si>
  <si>
    <t xml:space="preserve">Comprobación</t>
  </si>
  <si>
    <t xml:space="preserve">Lo que sale</t>
  </si>
  <si>
    <t xml:space="preserve">Estructura repartible   ·   sólo horas de personas identificables</t>
  </si>
  <si>
    <t xml:space="preserve">Tu coste de financiación   ·   escribe 6 si es un 6 %</t>
  </si>
  <si>
    <t xml:space="preserve">Horas repartidas entre todos tus clientes</t>
  </si>
  <si>
    <t xml:space="preserve">Lo que cuesta cada una de esas horas</t>
  </si>
  <si>
    <t xml:space="preserve">Saldo de clientes que sale de esta hoja</t>
  </si>
  <si>
    <t xml:space="preserve">Clientes que dice tu balance de cierre</t>
  </si>
  <si>
    <t xml:space="preserve">Diferencia   ·   si no cuadra, falta facturación por asignar</t>
  </si>
  <si>
    <t xml:space="preserve">LA BALLENA   ·   FIGURA 17.1</t>
  </si>
  <si>
    <t xml:space="preserve">Ordenados del que más deja al que menos</t>
  </si>
  <si>
    <t xml:space="preserve">Acumulado en euros</t>
  </si>
  <si>
    <t xml:space="preserve">Acumulado sobre el total</t>
  </si>
  <si>
    <t xml:space="preserve">LA COLA DE TU CARTERA</t>
  </si>
  <si>
    <t xml:space="preserve">Lo que pasa al final de la curva</t>
  </si>
  <si>
    <t xml:space="preserve">En euros</t>
  </si>
  <si>
    <t xml:space="preserve">Sobre el total</t>
  </si>
  <si>
    <t xml:space="preserve">Lo que aportan los clientes que suman</t>
  </si>
  <si>
    <t xml:space="preserve">Lo que te quitan los clientes que restan</t>
  </si>
  <si>
    <t xml:space="preserve">Facturación que se llevan esos clientes</t>
  </si>
  <si>
    <t xml:space="preserve">Lo que dejaría tu cartera sin ellos</t>
  </si>
  <si>
    <t xml:space="preserve">Dinero tuyo parado en el cliente que más tarda</t>
  </si>
  <si>
    <t xml:space="preserve">LO QUE DEJA TU CARTERA</t>
  </si>
  <si>
    <t xml:space="preserve">LO QUE TE QUITAN LOS QUE RESTAN</t>
  </si>
  <si>
    <t xml:space="preserve">EL PUNTO MÁS ALTO DE LA BALLENA</t>
  </si>
  <si>
    <t xml:space="preserve">DINERO TUYO PARADO EN CLIENTES</t>
  </si>
  <si>
    <t xml:space="preserve">   EJEMPLO RESUELTO   ·   Los números son los del libro. Para trabajar con los tuyos, usa la hoja «Plantilla».</t>
  </si>
  <si>
    <t xml:space="preserve">A · constructora</t>
  </si>
  <si>
    <t xml:space="preserve">B · industria</t>
  </si>
  <si>
    <t xml:space="preserve">C · mantenimiento</t>
  </si>
  <si>
    <t xml:space="preserve">D · reformas</t>
  </si>
  <si>
    <t xml:space="preserve">8 clientes medianos</t>
  </si>
  <si>
    <t xml:space="preserve">28 clientes habituales</t>
  </si>
  <si>
    <t xml:space="preserve">13 clientes pequeños</t>
  </si>
  <si>
    <t xml:space="preserve">11 clientes pequeños</t>
  </si>
  <si>
    <t xml:space="preserve">Capítulo 17 · plantilla 17.1 de 44 · «Facturas mucho y no ganas dinero»</t>
  </si>
  <si>
    <t xml:space="preserve">PARA QUÉ SIRVE</t>
  </si>
  <si>
    <t xml:space="preserve">La facturación por cliente es el único dato que casi todas las empresas tienen a mano y el menos útil de todos: dice cuánto trabajo te encarga alguien, no si ese trabajo te deja dinero. Esta hoja hace las tres restas que faltan —el coste directo, el coste de servir y el coste de financiar los días de cobro— y te devuelve la cartera ordenada por lo que deja de verdad.</t>
  </si>
  <si>
    <t xml:space="preserve">QUÉ NECESITAS TENER A MANO</t>
  </si>
  <si>
    <t xml:space="preserve">La lista de tus clientes con su facturación del año y su margen bruto en porcentaje. Agrupa los pequeños: no necesitas sesenta filas, necesitas ocho o diez grupos.</t>
  </si>
  <si>
    <t xml:space="preserve">Los días de cobro reales de cada uno, calculados sobre la fecha en que te pagan y no sobre el vencimiento pactado. Es la columna que más sorprende.</t>
  </si>
  <si>
    <t xml:space="preserve">La parte de tu estructura que es claramente atribuible a clientes: administrativos, jefe de obra, comercial. El alquiler, los seguros y tu sueldo no se reparten. Mejor un reparto pequeño y defendible que uno completo y discutible.</t>
  </si>
  <si>
    <t xml:space="preserve">Un indicador de actividad por cliente para repartir esa bolsa: horas, pedidos, facturas o visitas. Nunca la facturación, o te devolverá el mismo ranking del que intentas escapar.</t>
  </si>
  <si>
    <t xml:space="preserve">Tu coste de financiación real, el tuyo, no el del vecino. Y el saldo de clientes de tu balance de cierre, para comprobar que el desglose cuadra.</t>
  </si>
  <si>
    <t xml:space="preserve">CÓMO SE RELLENA</t>
  </si>
  <si>
    <t xml:space="preserve">Escribe abajo tu estructura repartible y tu coste de financiación. Sin esos dos números las columnas de servir y financiar salen en blanco.</t>
  </si>
  <si>
    <t xml:space="preserve">Rellena la tabla de clientes. Las tres columnas grises de la derecha salen solas y la de «lo que deja» se pone en rojo cuando el cliente resta.</t>
  </si>
  <si>
    <t xml:space="preserve">Mira la fila de comprobación: el saldo de clientes que sale de esta hoja tiene que parecerse al de tu balance. Si no cuadra, hay facturación sin asignar y todo lo que venga después es adivinar.</t>
  </si>
  <si>
    <t xml:space="preserve">La tabla de la ballena se ordena sola de mayor a menor. Si dos clientes dejan exactamente lo mismo repetirá el nombre del primero: cambia un euro en uno de los dos y se arregla.</t>
  </si>
  <si>
    <t xml:space="preserve">No persigas el decimal. Que uno salga con 40.000 € y otro con 42.000 € no significa nada; que uno salga con 62.000 y otro con 81.000, o que un grupo entero salga en negativo, significa mucho.</t>
  </si>
  <si>
    <t xml:space="preserve">QUÉ TE ESTÁ DICIENDO</t>
  </si>
  <si>
    <t xml:space="preserve">El orden de la ballena comparado con el orden por facturación que te sabes de memoria. El hueco entre las dos listas es todo el capítulo.</t>
  </si>
  <si>
    <t xml:space="preserve">El punto más alto de la curva. Si pasa del 100 %, quedándote sólo con los clientes que la construyen hasta ahí ganarías más que ganando con todos.</t>
  </si>
  <si>
    <t xml:space="preserve">La zona plana del centro, la de los clientes que no restan pero tampoco suman. Ocupan agenda, almacén y cabeza igual que cualquier otro y su aportación al año cabe en una factura mediana. Suele ser más grande que la zona que resta y llama mucho menos la atención.</t>
  </si>
  <si>
    <t xml:space="preserve">La columna de días en tus clientes grandes. Bajar a un cliente de 350.000 € de 120 a 75 días libera 43.151 € de caja sin vender un euro más.</t>
  </si>
  <si>
    <t xml:space="preserve">OJO CON ESTO</t>
  </si>
  <si>
    <t xml:space="preserve">A la cola no se la echa. Un cliente que resta rara vez es un cliente malo: es un cliente mal precificado, mal servido o mal cobrado, y las tres cosas se arreglan antes de llegar a la última opción. Primero súbele el precio, que suele estar pagando tarifa de cliente grande sin serlo. Después cámbiale el servicio: pedido mínimo, entregas agrupadas un día fijo, urgencias con recargo. Después cámbiale la forma de cobro. Y sólo si nada de eso funciona, deja de venderle, sin drama y sin carta. Y no repartas la estructura por facturación: eso destruye la hoja entera y te devuelve el ranking del que intentabas salir.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</si>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</sst>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&quot; €&quot;;[RED]\-#,##0&quot; €&quot;"/>
    <numFmt numFmtId="167" formatCode="0.0&quot; %&quot;"/>
    <numFmt numFmtId="168" formatCode="0&quot; días&quot;;[RED]\-0&quot; días&quot;"/>
    <numFmt numFmtId="169" formatCode="#,##0;[RED]\-#,##0"/>
    <numFmt numFmtId="170" formatCode="0.0\ %;[RED]\-0.0\ %"/>
    <numFmt numFmtId="171" formatCode="#,##0.00&quot; €&quot;;[RED]\-#,##0.00&quot; €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0.5"/>
      <color rgb="FF12161D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0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A7EBB"/>
      <rgbColor rgb="FF878787"/>
      <rgbColor rgb="FF12284F"/>
      <rgbColor rgb="FF339966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 ballena: margen acumulado sobre el total del año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Plantilla!E31</c:f>
              <c:strCache>
                <c:ptCount val="1"/>
                <c:pt idx="0">
                  <c:v>Acumulado sobre el total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Plantilla!$B$32:$B$41</c:f>
              <c:str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Plantilla!$E$32:$E$41</c:f>
              <c:numCache>
                <c:formatCode>General</c:formatCode>
                <c:ptCount val="1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9736409"/>
        <c:axId val="37897525"/>
      </c:lineChart>
      <c:catAx>
        <c:axId val="79736409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897525"/>
        <c:crosses val="autoZero"/>
        <c:auto val="1"/>
        <c:lblAlgn val="ctr"/>
        <c:lblOffset val="100"/>
        <c:noMultiLvlLbl val="0"/>
      </c:catAx>
      <c:valAx>
        <c:axId val="3789752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73640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 ballena: margen acumulado sobre el total del año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Ejemplo!E31</c:f>
              <c:strCache>
                <c:ptCount val="1"/>
                <c:pt idx="0">
                  <c:v>Acumulado sobre el total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Ejemplo!$B$32:$B$41</c:f>
              <c:strCache>
                <c:ptCount val="10"/>
                <c:pt idx="0">
                  <c:v>8 clientes medianos</c:v>
                </c:pt>
                <c:pt idx="1">
                  <c:v>B · industria</c:v>
                </c:pt>
                <c:pt idx="2">
                  <c:v>28 clientes habituales</c:v>
                </c:pt>
                <c:pt idx="3">
                  <c:v>C · mantenimiento</c:v>
                </c:pt>
                <c:pt idx="4">
                  <c:v>D · reformas</c:v>
                </c:pt>
                <c:pt idx="5">
                  <c:v>A · constructora</c:v>
                </c:pt>
                <c:pt idx="6">
                  <c:v>13 clientes pequeños</c:v>
                </c:pt>
                <c:pt idx="7">
                  <c:v>11 clientes pequeños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Ejemplo!$E$32:$E$41</c:f>
              <c:numCache>
                <c:formatCode>0.0\ %;[RED]\-0.0\ %</c:formatCode>
                <c:ptCount val="10"/>
                <c:pt idx="0">
                  <c:v>0.239711780953525</c:v>
                </c:pt>
                <c:pt idx="1">
                  <c:v>0.451221328209439</c:v>
                </c:pt>
                <c:pt idx="2">
                  <c:v>0.620982346583404</c:v>
                </c:pt>
                <c:pt idx="3">
                  <c:v>0.787954845682719</c:v>
                </c:pt>
                <c:pt idx="4">
                  <c:v>0.929998799087306</c:v>
                </c:pt>
                <c:pt idx="5">
                  <c:v>1.03887354389336</c:v>
                </c:pt>
                <c:pt idx="6">
                  <c:v>1.04493815299628</c:v>
                </c:pt>
                <c:pt idx="7">
                  <c:v>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8515275"/>
        <c:axId val="29469754"/>
      </c:lineChart>
      <c:catAx>
        <c:axId val="38515275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469754"/>
        <c:crosses val="autoZero"/>
        <c:auto val="1"/>
        <c:lblAlgn val="ctr"/>
        <c:lblOffset val="100"/>
        <c:noMultiLvlLbl val="0"/>
      </c:catAx>
      <c:valAx>
        <c:axId val="29469754"/>
        <c:scaling>
          <c:orientation val="minMax"/>
        </c:scaling>
        <c:delete val="0"/>
        <c:axPos val="l"/>
        <c:numFmt formatCode="0.0\ %;[RED]\-0.0\ 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51527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53</xdr:row>
      <xdr:rowOff>0</xdr:rowOff>
    </xdr:from>
    <xdr:to>
      <xdr:col>8</xdr:col>
      <xdr:colOff>941400</xdr:colOff>
      <xdr:row>68</xdr:row>
      <xdr:rowOff>22320</xdr:rowOff>
    </xdr:to>
    <xdr:graphicFrame>
      <xdr:nvGraphicFramePr>
        <xdr:cNvPr id="0" name="Chart 1"/>
        <xdr:cNvGraphicFramePr/>
      </xdr:nvGraphicFramePr>
      <xdr:xfrm>
        <a:off x="154800" y="1564020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53</xdr:row>
      <xdr:rowOff>0</xdr:rowOff>
    </xdr:from>
    <xdr:to>
      <xdr:col>8</xdr:col>
      <xdr:colOff>941400</xdr:colOff>
      <xdr:row>68</xdr:row>
      <xdr:rowOff>22320</xdr:rowOff>
    </xdr:to>
    <xdr:graphicFrame>
      <xdr:nvGraphicFramePr>
        <xdr:cNvPr id="1" name="Chart 1"/>
        <xdr:cNvGraphicFramePr/>
      </xdr:nvGraphicFramePr>
      <xdr:xfrm>
        <a:off x="154800" y="1564020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10" min="8" style="0" width="14"/>
    <col collapsed="false" customWidth="true" hidden="false" outlineLevel="0" max="11" min="11" style="0" width="1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9.75" hidden="false" customHeight="true" outlineLevel="0" collapsed="false"/>
    <row r="7" customFormat="false" ht="39.7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</row>
    <row r="8" customFormat="false" ht="18.75" hidden="false" customHeight="true" outlineLevel="0" collapsed="false">
      <c r="B8" s="6"/>
      <c r="C8" s="7"/>
      <c r="D8" s="8"/>
      <c r="E8" s="9" t="str">
        <f aca="false">IF(OR(C8="",D8=""),"",C8*D8/100)</f>
        <v/>
      </c>
      <c r="F8" s="10"/>
      <c r="G8" s="11"/>
      <c r="H8" s="9" t="str">
        <f aca="false">IF(OR(G8="",C24="",C24=0,C22=""),"",C22*G8/C24)</f>
        <v/>
      </c>
      <c r="I8" s="9" t="str">
        <f aca="false">IF(OR(C8="",F8="",C23=""),"",C8*F8/365*C23/100)</f>
        <v/>
      </c>
      <c r="J8" s="12" t="str">
        <f aca="false">IF(E8="","",E8-N(H8)-N(I8))</f>
        <v/>
      </c>
      <c r="K8" s="13" t="str">
        <f aca="false">IF(OR(J8="",C8="",C8=0),"",J8/C8)</f>
        <v/>
      </c>
    </row>
    <row r="9" customFormat="false" ht="18.75" hidden="false" customHeight="true" outlineLevel="0" collapsed="false">
      <c r="B9" s="6"/>
      <c r="C9" s="7"/>
      <c r="D9" s="8"/>
      <c r="E9" s="9" t="str">
        <f aca="false">IF(OR(C9="",D9=""),"",C9*D9/100)</f>
        <v/>
      </c>
      <c r="F9" s="10"/>
      <c r="G9" s="11"/>
      <c r="H9" s="9" t="str">
        <f aca="false">IF(OR(G9="",C24="",C24=0,C22=""),"",C22*G9/C24)</f>
        <v/>
      </c>
      <c r="I9" s="9" t="str">
        <f aca="false">IF(OR(C9="",F9="",C23=""),"",C9*F9/365*C23/100)</f>
        <v/>
      </c>
      <c r="J9" s="12" t="str">
        <f aca="false">IF(E9="","",E9-N(H9)-N(I9))</f>
        <v/>
      </c>
      <c r="K9" s="13" t="str">
        <f aca="false">IF(OR(J9="",C9="",C9=0),"",J9/C9)</f>
        <v/>
      </c>
    </row>
    <row r="10" customFormat="false" ht="18.75" hidden="false" customHeight="true" outlineLevel="0" collapsed="false">
      <c r="B10" s="6"/>
      <c r="C10" s="7"/>
      <c r="D10" s="8"/>
      <c r="E10" s="9" t="str">
        <f aca="false">IF(OR(C10="",D10=""),"",C10*D10/100)</f>
        <v/>
      </c>
      <c r="F10" s="10"/>
      <c r="G10" s="11"/>
      <c r="H10" s="9" t="str">
        <f aca="false">IF(OR(G10="",C24="",C24=0,C22=""),"",C22*G10/C24)</f>
        <v/>
      </c>
      <c r="I10" s="9" t="str">
        <f aca="false">IF(OR(C10="",F10="",C23=""),"",C10*F10/365*C23/100)</f>
        <v/>
      </c>
      <c r="J10" s="12" t="str">
        <f aca="false">IF(E10="","",E10-N(H10)-N(I10))</f>
        <v/>
      </c>
      <c r="K10" s="13" t="str">
        <f aca="false">IF(OR(J10="",C10="",C10=0),"",J10/C10)</f>
        <v/>
      </c>
    </row>
    <row r="11" customFormat="false" ht="18.75" hidden="false" customHeight="true" outlineLevel="0" collapsed="false">
      <c r="B11" s="6"/>
      <c r="C11" s="7"/>
      <c r="D11" s="8"/>
      <c r="E11" s="9" t="str">
        <f aca="false">IF(OR(C11="",D11=""),"",C11*D11/100)</f>
        <v/>
      </c>
      <c r="F11" s="10"/>
      <c r="G11" s="11"/>
      <c r="H11" s="9" t="str">
        <f aca="false">IF(OR(G11="",C24="",C24=0,C22=""),"",C22*G11/C24)</f>
        <v/>
      </c>
      <c r="I11" s="9" t="str">
        <f aca="false">IF(OR(C11="",F11="",C23=""),"",C11*F11/365*C23/100)</f>
        <v/>
      </c>
      <c r="J11" s="12" t="str">
        <f aca="false">IF(E11="","",E11-N(H11)-N(I11))</f>
        <v/>
      </c>
      <c r="K11" s="13" t="str">
        <f aca="false">IF(OR(J11="",C11="",C11=0),"",J11/C11)</f>
        <v/>
      </c>
    </row>
    <row r="12" customFormat="false" ht="18.75" hidden="false" customHeight="true" outlineLevel="0" collapsed="false">
      <c r="B12" s="6"/>
      <c r="C12" s="7"/>
      <c r="D12" s="8"/>
      <c r="E12" s="9" t="str">
        <f aca="false">IF(OR(C12="",D12=""),"",C12*D12/100)</f>
        <v/>
      </c>
      <c r="F12" s="10"/>
      <c r="G12" s="11"/>
      <c r="H12" s="9" t="str">
        <f aca="false">IF(OR(G12="",C24="",C24=0,C22=""),"",C22*G12/C24)</f>
        <v/>
      </c>
      <c r="I12" s="9" t="str">
        <f aca="false">IF(OR(C12="",F12="",C23=""),"",C12*F12/365*C23/100)</f>
        <v/>
      </c>
      <c r="J12" s="12" t="str">
        <f aca="false">IF(E12="","",E12-N(H12)-N(I12))</f>
        <v/>
      </c>
      <c r="K12" s="13" t="str">
        <f aca="false">IF(OR(J12="",C12="",C12=0),"",J12/C12)</f>
        <v/>
      </c>
    </row>
    <row r="13" customFormat="false" ht="18.75" hidden="false" customHeight="true" outlineLevel="0" collapsed="false">
      <c r="B13" s="6"/>
      <c r="C13" s="7"/>
      <c r="D13" s="8"/>
      <c r="E13" s="9" t="str">
        <f aca="false">IF(OR(C13="",D13=""),"",C13*D13/100)</f>
        <v/>
      </c>
      <c r="F13" s="10"/>
      <c r="G13" s="11"/>
      <c r="H13" s="9" t="str">
        <f aca="false">IF(OR(G13="",C24="",C24=0,C22=""),"",C22*G13/C24)</f>
        <v/>
      </c>
      <c r="I13" s="9" t="str">
        <f aca="false">IF(OR(C13="",F13="",C23=""),"",C13*F13/365*C23/100)</f>
        <v/>
      </c>
      <c r="J13" s="12" t="str">
        <f aca="false">IF(E13="","",E13-N(H13)-N(I13))</f>
        <v/>
      </c>
      <c r="K13" s="13" t="str">
        <f aca="false">IF(OR(J13="",C13="",C13=0),"",J13/C13)</f>
        <v/>
      </c>
    </row>
    <row r="14" customFormat="false" ht="18.75" hidden="false" customHeight="true" outlineLevel="0" collapsed="false">
      <c r="B14" s="6"/>
      <c r="C14" s="7"/>
      <c r="D14" s="8"/>
      <c r="E14" s="9" t="str">
        <f aca="false">IF(OR(C14="",D14=""),"",C14*D14/100)</f>
        <v/>
      </c>
      <c r="F14" s="10"/>
      <c r="G14" s="11"/>
      <c r="H14" s="9" t="str">
        <f aca="false">IF(OR(G14="",C24="",C24=0,C22=""),"",C22*G14/C24)</f>
        <v/>
      </c>
      <c r="I14" s="9" t="str">
        <f aca="false">IF(OR(C14="",F14="",C23=""),"",C14*F14/365*C23/100)</f>
        <v/>
      </c>
      <c r="J14" s="12" t="str">
        <f aca="false">IF(E14="","",E14-N(H14)-N(I14))</f>
        <v/>
      </c>
      <c r="K14" s="13" t="str">
        <f aca="false">IF(OR(J14="",C14="",C14=0),"",J14/C14)</f>
        <v/>
      </c>
    </row>
    <row r="15" customFormat="false" ht="18.75" hidden="false" customHeight="true" outlineLevel="0" collapsed="false">
      <c r="B15" s="6"/>
      <c r="C15" s="7"/>
      <c r="D15" s="8"/>
      <c r="E15" s="9" t="str">
        <f aca="false">IF(OR(C15="",D15=""),"",C15*D15/100)</f>
        <v/>
      </c>
      <c r="F15" s="10"/>
      <c r="G15" s="11"/>
      <c r="H15" s="9" t="str">
        <f aca="false">IF(OR(G15="",C24="",C24=0,C22=""),"",C22*G15/C24)</f>
        <v/>
      </c>
      <c r="I15" s="9" t="str">
        <f aca="false">IF(OR(C15="",F15="",C23=""),"",C15*F15/365*C23/100)</f>
        <v/>
      </c>
      <c r="J15" s="12" t="str">
        <f aca="false">IF(E15="","",E15-N(H15)-N(I15))</f>
        <v/>
      </c>
      <c r="K15" s="13" t="str">
        <f aca="false">IF(OR(J15="",C15="",C15=0),"",J15/C15)</f>
        <v/>
      </c>
    </row>
    <row r="16" customFormat="false" ht="18.75" hidden="false" customHeight="true" outlineLevel="0" collapsed="false">
      <c r="B16" s="6"/>
      <c r="C16" s="7"/>
      <c r="D16" s="8"/>
      <c r="E16" s="9" t="str">
        <f aca="false">IF(OR(C16="",D16=""),"",C16*D16/100)</f>
        <v/>
      </c>
      <c r="F16" s="10"/>
      <c r="G16" s="11"/>
      <c r="H16" s="9" t="str">
        <f aca="false">IF(OR(G16="",C24="",C24=0,C22=""),"",C22*G16/C24)</f>
        <v/>
      </c>
      <c r="I16" s="9" t="str">
        <f aca="false">IF(OR(C16="",F16="",C23=""),"",C16*F16/365*C23/100)</f>
        <v/>
      </c>
      <c r="J16" s="12" t="str">
        <f aca="false">IF(E16="","",E16-N(H16)-N(I16))</f>
        <v/>
      </c>
      <c r="K16" s="13" t="str">
        <f aca="false">IF(OR(J16="",C16="",C16=0),"",J16/C16)</f>
        <v/>
      </c>
    </row>
    <row r="17" customFormat="false" ht="18.75" hidden="false" customHeight="true" outlineLevel="0" collapsed="false">
      <c r="B17" s="6"/>
      <c r="C17" s="7"/>
      <c r="D17" s="8"/>
      <c r="E17" s="9" t="str">
        <f aca="false">IF(OR(C17="",D17=""),"",C17*D17/100)</f>
        <v/>
      </c>
      <c r="F17" s="10"/>
      <c r="G17" s="11"/>
      <c r="H17" s="9" t="str">
        <f aca="false">IF(OR(G17="",C24="",C24=0,C22=""),"",C22*G17/C24)</f>
        <v/>
      </c>
      <c r="I17" s="9" t="str">
        <f aca="false">IF(OR(C17="",F17="",C23=""),"",C17*F17/365*C23/100)</f>
        <v/>
      </c>
      <c r="J17" s="12" t="str">
        <f aca="false">IF(E17="","",E17-N(H17)-N(I17))</f>
        <v/>
      </c>
      <c r="K17" s="13" t="str">
        <f aca="false">IF(OR(J17="",C17="",C17=0),"",J17/C17)</f>
        <v/>
      </c>
    </row>
    <row r="18" customFormat="false" ht="19.5" hidden="false" customHeight="true" outlineLevel="0" collapsed="false">
      <c r="B18" s="14" t="s">
        <v>13</v>
      </c>
      <c r="C18" s="15" t="str">
        <f aca="false">IF(COUNT(C8:C17)=0,"",SUM(C8:C17))</f>
        <v/>
      </c>
      <c r="D18" s="16" t="str">
        <f aca="false">IF(OR(C18="",C18=0,E18=""),"",E18/C18)</f>
        <v/>
      </c>
      <c r="E18" s="15" t="str">
        <f aca="false">IF(COUNT(E8:E17)=0,"",SUM(E8:E17))</f>
        <v/>
      </c>
      <c r="F18" s="17" t="str">
        <f aca="false">IF(OR(C18="",C18=0,COUNT(F8:F17)=0),"",SUMPRODUCT(C8:C17,F8:F17)/C18)</f>
        <v/>
      </c>
      <c r="G18" s="18" t="str">
        <f aca="false">IF(COUNT(G8:G17)=0,"",SUM(G8:G17))</f>
        <v/>
      </c>
      <c r="H18" s="15" t="str">
        <f aca="false">IF(COUNT(H8:H17)=0,"",SUM(H8:H17))</f>
        <v/>
      </c>
      <c r="I18" s="15" t="str">
        <f aca="false">IF(COUNT(I8:I17)=0,"",SUM(I8:I17))</f>
        <v/>
      </c>
      <c r="J18" s="15" t="str">
        <f aca="false">IF(COUNT(J8:J17)=0,"",SUM(J8:J17))</f>
        <v/>
      </c>
      <c r="K18" s="16" t="str">
        <f aca="false">IF(OR(J18="",C18="",C18=0),"",J18/C18)</f>
        <v/>
      </c>
    </row>
    <row r="20" customFormat="false" ht="24" hidden="false" customHeight="true" outlineLevel="0" collapsed="false">
      <c r="B20" s="19" t="s">
        <v>14</v>
      </c>
    </row>
    <row r="21" customFormat="false" ht="31.5" hidden="false" customHeight="true" outlineLevel="0" collapsed="false">
      <c r="B21" s="4" t="s">
        <v>15</v>
      </c>
      <c r="C21" s="5" t="s">
        <v>16</v>
      </c>
      <c r="D21" s="5" t="s">
        <v>17</v>
      </c>
      <c r="E21" s="5" t="s">
        <v>18</v>
      </c>
    </row>
    <row r="22" customFormat="false" ht="34.5" hidden="false" customHeight="true" outlineLevel="0" collapsed="false">
      <c r="B22" s="20" t="s">
        <v>19</v>
      </c>
      <c r="C22" s="7"/>
    </row>
    <row r="23" customFormat="false" ht="34.5" hidden="false" customHeight="true" outlineLevel="0" collapsed="false">
      <c r="B23" s="20" t="s">
        <v>20</v>
      </c>
      <c r="C23" s="8"/>
    </row>
    <row r="24" customFormat="false" ht="34.5" hidden="false" customHeight="true" outlineLevel="0" collapsed="false">
      <c r="B24" s="20" t="s">
        <v>21</v>
      </c>
      <c r="C24" s="21" t="str">
        <f aca="false">IF(G18="","",G18)</f>
        <v/>
      </c>
    </row>
    <row r="25" customFormat="false" ht="34.5" hidden="false" customHeight="true" outlineLevel="0" collapsed="false">
      <c r="B25" s="20" t="s">
        <v>22</v>
      </c>
      <c r="C25" s="22" t="str">
        <f aca="false">IF(OR(C22="",C24="",C24=0),"",C22/C24)</f>
        <v/>
      </c>
    </row>
    <row r="26" customFormat="false" ht="34.5" hidden="false" customHeight="true" outlineLevel="0" collapsed="false">
      <c r="B26" s="20" t="s">
        <v>23</v>
      </c>
      <c r="C26" s="9" t="str">
        <f aca="false">IF(OR(C18="",F18=""),"",C18*F18/365)</f>
        <v/>
      </c>
    </row>
    <row r="27" customFormat="false" ht="34.5" hidden="false" customHeight="true" outlineLevel="0" collapsed="false">
      <c r="B27" s="20" t="s">
        <v>24</v>
      </c>
      <c r="C27" s="7"/>
    </row>
    <row r="28" customFormat="false" ht="34.5" hidden="false" customHeight="true" outlineLevel="0" collapsed="false">
      <c r="B28" s="23" t="s">
        <v>25</v>
      </c>
      <c r="C28" s="12" t="str">
        <f aca="false">IF(OR(C26="",C27=""),"",C26-C27)</f>
        <v/>
      </c>
    </row>
    <row r="30" customFormat="false" ht="24" hidden="false" customHeight="true" outlineLevel="0" collapsed="false">
      <c r="B30" s="19" t="s">
        <v>26</v>
      </c>
    </row>
    <row r="31" customFormat="false" ht="36" hidden="false" customHeight="true" outlineLevel="0" collapsed="false">
      <c r="B31" s="4" t="s">
        <v>27</v>
      </c>
      <c r="C31" s="5" t="s">
        <v>11</v>
      </c>
      <c r="D31" s="5" t="s">
        <v>28</v>
      </c>
      <c r="E31" s="5" t="s">
        <v>29</v>
      </c>
    </row>
    <row r="32" customFormat="false" ht="18.75" hidden="false" customHeight="true" outlineLevel="0" collapsed="false">
      <c r="B32" s="24" t="n">
        <f aca="false">IFERROR(INDEX(B8:B17,MATCH(C32,J8:J17,0)),"")</f>
        <v>0</v>
      </c>
      <c r="C32" s="9" t="str">
        <f aca="false">IFERROR(LARGE(J8:J17,1),"")</f>
        <v/>
      </c>
      <c r="D32" s="9" t="str">
        <f aca="false">IF(C32="","",C32)</f>
        <v/>
      </c>
      <c r="E32" s="25" t="str">
        <f aca="false">IF(OR(D32="",J18="",J18=0),"",D32/J18)</f>
        <v/>
      </c>
    </row>
    <row r="33" customFormat="false" ht="18.75" hidden="false" customHeight="true" outlineLevel="0" collapsed="false">
      <c r="B33" s="24" t="n">
        <f aca="false">IFERROR(INDEX(B8:B17,MATCH(C33,J8:J17,0)),"")</f>
        <v>0</v>
      </c>
      <c r="C33" s="9" t="str">
        <f aca="false">IFERROR(LARGE(J8:J17,2),"")</f>
        <v/>
      </c>
      <c r="D33" s="9" t="str">
        <f aca="false">IF(C33="","",N(D32)+C33)</f>
        <v/>
      </c>
      <c r="E33" s="25" t="str">
        <f aca="false">IF(OR(D33="",J18="",J18=0),"",D33/J18)</f>
        <v/>
      </c>
    </row>
    <row r="34" customFormat="false" ht="18.75" hidden="false" customHeight="true" outlineLevel="0" collapsed="false">
      <c r="B34" s="24" t="n">
        <f aca="false">IFERROR(INDEX(B8:B17,MATCH(C34,J8:J17,0)),"")</f>
        <v>0</v>
      </c>
      <c r="C34" s="9" t="str">
        <f aca="false">IFERROR(LARGE(J8:J17,3),"")</f>
        <v/>
      </c>
      <c r="D34" s="9" t="str">
        <f aca="false">IF(C34="","",N(D33)+C34)</f>
        <v/>
      </c>
      <c r="E34" s="25" t="str">
        <f aca="false">IF(OR(D34="",J18="",J18=0),"",D34/J18)</f>
        <v/>
      </c>
    </row>
    <row r="35" customFormat="false" ht="18.75" hidden="false" customHeight="true" outlineLevel="0" collapsed="false">
      <c r="B35" s="24" t="n">
        <f aca="false">IFERROR(INDEX(B8:B17,MATCH(C35,J8:J17,0)),"")</f>
        <v>0</v>
      </c>
      <c r="C35" s="9" t="str">
        <f aca="false">IFERROR(LARGE(J8:J17,4),"")</f>
        <v/>
      </c>
      <c r="D35" s="9" t="str">
        <f aca="false">IF(C35="","",N(D34)+C35)</f>
        <v/>
      </c>
      <c r="E35" s="25" t="str">
        <f aca="false">IF(OR(D35="",J18="",J18=0),"",D35/J18)</f>
        <v/>
      </c>
    </row>
    <row r="36" customFormat="false" ht="18.75" hidden="false" customHeight="true" outlineLevel="0" collapsed="false">
      <c r="B36" s="24" t="n">
        <f aca="false">IFERROR(INDEX(B8:B17,MATCH(C36,J8:J17,0)),"")</f>
        <v>0</v>
      </c>
      <c r="C36" s="9" t="str">
        <f aca="false">IFERROR(LARGE(J8:J17,5),"")</f>
        <v/>
      </c>
      <c r="D36" s="9" t="str">
        <f aca="false">IF(C36="","",N(D35)+C36)</f>
        <v/>
      </c>
      <c r="E36" s="25" t="str">
        <f aca="false">IF(OR(D36="",J18="",J18=0),"",D36/J18)</f>
        <v/>
      </c>
    </row>
    <row r="37" customFormat="false" ht="18.75" hidden="false" customHeight="true" outlineLevel="0" collapsed="false">
      <c r="B37" s="24" t="n">
        <f aca="false">IFERROR(INDEX(B8:B17,MATCH(C37,J8:J17,0)),"")</f>
        <v>0</v>
      </c>
      <c r="C37" s="9" t="str">
        <f aca="false">IFERROR(LARGE(J8:J17,6),"")</f>
        <v/>
      </c>
      <c r="D37" s="9" t="str">
        <f aca="false">IF(C37="","",N(D36)+C37)</f>
        <v/>
      </c>
      <c r="E37" s="25" t="str">
        <f aca="false">IF(OR(D37="",J18="",J18=0),"",D37/J18)</f>
        <v/>
      </c>
    </row>
    <row r="38" customFormat="false" ht="18.75" hidden="false" customHeight="true" outlineLevel="0" collapsed="false">
      <c r="B38" s="24" t="n">
        <f aca="false">IFERROR(INDEX(B8:B17,MATCH(C38,J8:J17,0)),"")</f>
        <v>0</v>
      </c>
      <c r="C38" s="9" t="str">
        <f aca="false">IFERROR(LARGE(J8:J17,7),"")</f>
        <v/>
      </c>
      <c r="D38" s="9" t="str">
        <f aca="false">IF(C38="","",N(D37)+C38)</f>
        <v/>
      </c>
      <c r="E38" s="25" t="str">
        <f aca="false">IF(OR(D38="",J18="",J18=0),"",D38/J18)</f>
        <v/>
      </c>
    </row>
    <row r="39" customFormat="false" ht="18.75" hidden="false" customHeight="true" outlineLevel="0" collapsed="false">
      <c r="B39" s="24" t="n">
        <f aca="false">IFERROR(INDEX(B8:B17,MATCH(C39,J8:J17,0)),"")</f>
        <v>0</v>
      </c>
      <c r="C39" s="9" t="str">
        <f aca="false">IFERROR(LARGE(J8:J17,8),"")</f>
        <v/>
      </c>
      <c r="D39" s="9" t="str">
        <f aca="false">IF(C39="","",N(D38)+C39)</f>
        <v/>
      </c>
      <c r="E39" s="25" t="str">
        <f aca="false">IF(OR(D39="",J18="",J18=0),"",D39/J18)</f>
        <v/>
      </c>
    </row>
    <row r="40" customFormat="false" ht="18.75" hidden="false" customHeight="true" outlineLevel="0" collapsed="false">
      <c r="B40" s="24" t="n">
        <f aca="false">IFERROR(INDEX(B8:B17,MATCH(C40,J8:J17,0)),"")</f>
        <v>0</v>
      </c>
      <c r="C40" s="9" t="str">
        <f aca="false">IFERROR(LARGE(J8:J17,9),"")</f>
        <v/>
      </c>
      <c r="D40" s="9" t="str">
        <f aca="false">IF(C40="","",N(D39)+C40)</f>
        <v/>
      </c>
      <c r="E40" s="25" t="str">
        <f aca="false">IF(OR(D40="",J18="",J18=0),"",D40/J18)</f>
        <v/>
      </c>
    </row>
    <row r="41" customFormat="false" ht="18.75" hidden="false" customHeight="true" outlineLevel="0" collapsed="false">
      <c r="B41" s="24" t="n">
        <f aca="false">IFERROR(INDEX(B8:B17,MATCH(C41,J8:J17,0)),"")</f>
        <v>0</v>
      </c>
      <c r="C41" s="9" t="str">
        <f aca="false">IFERROR(LARGE(J8:J17,10),"")</f>
        <v/>
      </c>
      <c r="D41" s="9" t="str">
        <f aca="false">IF(C41="","",N(D40)+C41)</f>
        <v/>
      </c>
      <c r="E41" s="25" t="str">
        <f aca="false">IF(OR(D41="",J18="",J18=0),"",D41/J18)</f>
        <v/>
      </c>
    </row>
    <row r="43" customFormat="false" ht="24" hidden="false" customHeight="true" outlineLevel="0" collapsed="false">
      <c r="B43" s="19" t="s">
        <v>30</v>
      </c>
    </row>
    <row r="44" customFormat="false" ht="30" hidden="false" customHeight="true" outlineLevel="0" collapsed="false">
      <c r="B44" s="4" t="s">
        <v>31</v>
      </c>
      <c r="C44" s="5" t="s">
        <v>32</v>
      </c>
      <c r="D44" s="5" t="s">
        <v>33</v>
      </c>
    </row>
    <row r="45" customFormat="false" ht="34.5" hidden="false" customHeight="true" outlineLevel="0" collapsed="false">
      <c r="B45" s="20" t="s">
        <v>34</v>
      </c>
      <c r="C45" s="9" t="str">
        <f aca="false">IF(COUNT(J8:J17)=0,"",SUMIF(J8:J17,"&gt;0"))</f>
        <v/>
      </c>
    </row>
    <row r="46" customFormat="false" ht="34.5" hidden="false" customHeight="true" outlineLevel="0" collapsed="false">
      <c r="B46" s="20" t="s">
        <v>35</v>
      </c>
      <c r="C46" s="9" t="str">
        <f aca="false">IF(COUNT(J8:J17)=0,"",SUMIF(J8:J17,"&lt;0"))</f>
        <v/>
      </c>
      <c r="D46" s="13" t="str">
        <f aca="false">IF(OR(C46="",J18="",J18=0),"",C46/J18)</f>
        <v/>
      </c>
    </row>
    <row r="47" customFormat="false" ht="34.5" hidden="false" customHeight="true" outlineLevel="0" collapsed="false">
      <c r="B47" s="20" t="s">
        <v>36</v>
      </c>
      <c r="C47" s="9" t="str">
        <f aca="false">IF(COUNT(J8:J17)=0,"",SUMIF(J8:J17,"&lt;0",C8:C17))</f>
        <v/>
      </c>
      <c r="D47" s="13" t="str">
        <f aca="false">IF(OR(C47="",C18="",C18=0),"",C47/C18)</f>
        <v/>
      </c>
    </row>
    <row r="48" customFormat="false" ht="34.5" hidden="false" customHeight="true" outlineLevel="0" collapsed="false">
      <c r="B48" s="26" t="s">
        <v>37</v>
      </c>
      <c r="C48" s="15" t="str">
        <f aca="false">IF(OR(J18="",C46=""),"",J18-C46)</f>
        <v/>
      </c>
    </row>
    <row r="49" customFormat="false" ht="34.5" hidden="false" customHeight="true" outlineLevel="0" collapsed="false">
      <c r="B49" s="20" t="s">
        <v>38</v>
      </c>
      <c r="C49" s="9" t="str">
        <f aca="false">IF(COUNT(I8:I17)=0,"",MAX(I8:I17)/N(C23)*100*365/365)</f>
        <v/>
      </c>
    </row>
    <row r="51" customFormat="false" ht="15" hidden="false" customHeight="true" outlineLevel="0" collapsed="false">
      <c r="B51" s="27" t="s">
        <v>39</v>
      </c>
      <c r="C51" s="28" t="s">
        <v>40</v>
      </c>
      <c r="D51" s="28"/>
      <c r="E51" s="28" t="s">
        <v>41</v>
      </c>
      <c r="F51" s="28"/>
      <c r="H51" s="28" t="s">
        <v>42</v>
      </c>
      <c r="I51" s="28"/>
      <c r="J51" s="28"/>
    </row>
    <row r="52" customFormat="false" ht="30" hidden="false" customHeight="true" outlineLevel="0" collapsed="false">
      <c r="B52" s="29" t="str">
        <f aca="false">IF(J18="","",J18)</f>
        <v/>
      </c>
      <c r="C52" s="30" t="str">
        <f aca="false">IF(C46="","",C46)</f>
        <v/>
      </c>
      <c r="D52" s="30"/>
      <c r="E52" s="31" t="str">
        <f aca="false">IF(COUNT(E32:E41)=0,"",MAX(E32:E41))</f>
        <v/>
      </c>
      <c r="F52" s="31"/>
      <c r="H52" s="32" t="str">
        <f aca="false">IF(C26="","",C26)</f>
        <v/>
      </c>
      <c r="I52" s="32"/>
      <c r="J52" s="32"/>
    </row>
  </sheetData>
  <sheetProtection sheet="true"/>
  <mergeCells count="7">
    <mergeCell ref="B4:K4"/>
    <mergeCell ref="C51:D51"/>
    <mergeCell ref="E51:F51"/>
    <mergeCell ref="H51:J51"/>
    <mergeCell ref="C52:D52"/>
    <mergeCell ref="E52:F52"/>
    <mergeCell ref="H52:J52"/>
  </mergeCells>
  <conditionalFormatting sqref="J8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J9">
    <cfRule type="cellIs" priority="4" operator="greaterThanOrEqual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conditionalFormatting sqref="J10">
    <cfRule type="cellIs" priority="6" operator="greaterThanOrEqual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conditionalFormatting sqref="J11">
    <cfRule type="cellIs" priority="8" operator="greaterThanOrEqual" aboveAverage="0" equalAverage="0" bottom="0" percent="0" rank="0" text="" dxfId="0">
      <formula>0</formula>
    </cfRule>
    <cfRule type="cellIs" priority="9" operator="lessThan" aboveAverage="0" equalAverage="0" bottom="0" percent="0" rank="0" text="" dxfId="1">
      <formula>0</formula>
    </cfRule>
  </conditionalFormatting>
  <conditionalFormatting sqref="J12">
    <cfRule type="cellIs" priority="10" operator="greaterThanOrEqual" aboveAverage="0" equalAverage="0" bottom="0" percent="0" rank="0" text="" dxfId="0">
      <formula>0</formula>
    </cfRule>
    <cfRule type="cellIs" priority="11" operator="lessThan" aboveAverage="0" equalAverage="0" bottom="0" percent="0" rank="0" text="" dxfId="1">
      <formula>0</formula>
    </cfRule>
  </conditionalFormatting>
  <conditionalFormatting sqref="J13">
    <cfRule type="cellIs" priority="12" operator="greaterThanOrEqual" aboveAverage="0" equalAverage="0" bottom="0" percent="0" rank="0" text="" dxfId="0">
      <formula>0</formula>
    </cfRule>
    <cfRule type="cellIs" priority="13" operator="lessThan" aboveAverage="0" equalAverage="0" bottom="0" percent="0" rank="0" text="" dxfId="1">
      <formula>0</formula>
    </cfRule>
  </conditionalFormatting>
  <conditionalFormatting sqref="J14">
    <cfRule type="cellIs" priority="14" operator="greaterThanOrEqual" aboveAverage="0" equalAverage="0" bottom="0" percent="0" rank="0" text="" dxfId="0">
      <formula>0</formula>
    </cfRule>
    <cfRule type="cellIs" priority="15" operator="lessThan" aboveAverage="0" equalAverage="0" bottom="0" percent="0" rank="0" text="" dxfId="1">
      <formula>0</formula>
    </cfRule>
  </conditionalFormatting>
  <conditionalFormatting sqref="J15">
    <cfRule type="cellIs" priority="16" operator="greaterThanOrEqual" aboveAverage="0" equalAverage="0" bottom="0" percent="0" rank="0" text="" dxfId="0">
      <formula>0</formula>
    </cfRule>
    <cfRule type="cellIs" priority="17" operator="lessThan" aboveAverage="0" equalAverage="0" bottom="0" percent="0" rank="0" text="" dxfId="1">
      <formula>0</formula>
    </cfRule>
  </conditionalFormatting>
  <conditionalFormatting sqref="J16">
    <cfRule type="cellIs" priority="18" operator="greaterThanOrEqual" aboveAverage="0" equalAverage="0" bottom="0" percent="0" rank="0" text="" dxfId="0">
      <formula>0</formula>
    </cfRule>
    <cfRule type="cellIs" priority="19" operator="lessThan" aboveAverage="0" equalAverage="0" bottom="0" percent="0" rank="0" text="" dxfId="1">
      <formula>0</formula>
    </cfRule>
  </conditionalFormatting>
  <conditionalFormatting sqref="J17">
    <cfRule type="cellIs" priority="20" operator="greaterThanOrEqual" aboveAverage="0" equalAverage="0" bottom="0" percent="0" rank="0" text="" dxfId="0">
      <formula>0</formula>
    </cfRule>
    <cfRule type="cellIs" priority="21" operator="lessThan" aboveAverage="0" equalAverage="0" bottom="0" percent="0" rank="0" text="" dxfId="1">
      <formula>0</formula>
    </cfRule>
  </conditionalFormatting>
  <conditionalFormatting sqref="C46">
    <cfRule type="cellIs" priority="22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10" min="8" style="0" width="14"/>
    <col collapsed="false" customWidth="true" hidden="false" outlineLevel="0" max="11" min="11" style="0" width="1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3" t="s">
        <v>43</v>
      </c>
      <c r="C4" s="33"/>
      <c r="D4" s="33"/>
      <c r="E4" s="33"/>
      <c r="F4" s="33"/>
      <c r="G4" s="33"/>
      <c r="H4" s="33"/>
      <c r="I4" s="33"/>
      <c r="J4" s="33"/>
      <c r="K4" s="33"/>
    </row>
    <row r="5" customFormat="false" ht="9.75" hidden="false" customHeight="true" outlineLevel="0" collapsed="false"/>
    <row r="7" customFormat="false" ht="39.7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</row>
    <row r="8" customFormat="false" ht="18.75" hidden="false" customHeight="true" outlineLevel="0" collapsed="false">
      <c r="B8" s="6" t="s">
        <v>44</v>
      </c>
      <c r="C8" s="7" t="n">
        <v>350000</v>
      </c>
      <c r="D8" s="8" t="n">
        <v>26</v>
      </c>
      <c r="E8" s="9" t="n">
        <f aca="false">IF(OR(C8="",D8=""),"",C8*D8/100)</f>
        <v>91000</v>
      </c>
      <c r="F8" s="10" t="n">
        <v>120</v>
      </c>
      <c r="G8" s="11" t="n">
        <v>550</v>
      </c>
      <c r="H8" s="9" t="n">
        <f aca="false">IF(OR(G8="",C24="",C24=0,C22=""),"",C22*G8/C24)</f>
        <v>22000</v>
      </c>
      <c r="I8" s="9" t="n">
        <f aca="false">IF(OR(C8="",F8="",C23=""),"",C8*F8/365*C23/100)</f>
        <v>6904.1095890411</v>
      </c>
      <c r="J8" s="12" t="n">
        <f aca="false">IF(E8="","",E8-N(H8)-N(I8))</f>
        <v>62095.8904109589</v>
      </c>
      <c r="K8" s="13" t="n">
        <f aca="false">IF(OR(J8="",C8="",C8=0),"",J8/C8)</f>
        <v>0.177416829745597</v>
      </c>
    </row>
    <row r="9" customFormat="false" ht="18.75" hidden="false" customHeight="true" outlineLevel="0" collapsed="false">
      <c r="B9" s="6" t="s">
        <v>45</v>
      </c>
      <c r="C9" s="7" t="n">
        <v>240000</v>
      </c>
      <c r="D9" s="8" t="n">
        <v>55</v>
      </c>
      <c r="E9" s="9" t="n">
        <f aca="false">IF(OR(C9="",D9=""),"",C9*D9/100)</f>
        <v>132000</v>
      </c>
      <c r="F9" s="10" t="n">
        <v>60</v>
      </c>
      <c r="G9" s="11" t="n">
        <v>225</v>
      </c>
      <c r="H9" s="9" t="n">
        <f aca="false">IF(OR(G9="",C24="",C24=0,C22=""),"",C22*G9/C24)</f>
        <v>9000</v>
      </c>
      <c r="I9" s="9" t="n">
        <f aca="false">IF(OR(C9="",F9="",C23=""),"",C9*F9/365*C23/100)</f>
        <v>2367.12328767123</v>
      </c>
      <c r="J9" s="12" t="n">
        <f aca="false">IF(E9="","",E9-N(H9)-N(I9))</f>
        <v>120632.876712329</v>
      </c>
      <c r="K9" s="13" t="n">
        <f aca="false">IF(OR(J9="",C9="",C9=0),"",J9/C9)</f>
        <v>0.50263698630137</v>
      </c>
    </row>
    <row r="10" customFormat="false" ht="18.75" hidden="false" customHeight="true" outlineLevel="0" collapsed="false">
      <c r="B10" s="6" t="s">
        <v>46</v>
      </c>
      <c r="C10" s="7" t="n">
        <v>185000</v>
      </c>
      <c r="D10" s="8" t="n">
        <v>56</v>
      </c>
      <c r="E10" s="9" t="n">
        <f aca="false">IF(OR(C10="",D10=""),"",C10*D10/100)</f>
        <v>103600</v>
      </c>
      <c r="F10" s="10" t="n">
        <v>45</v>
      </c>
      <c r="G10" s="11" t="n">
        <v>175</v>
      </c>
      <c r="H10" s="9" t="n">
        <f aca="false">IF(OR(G10="",C24="",C24=0,C22=""),"",C22*G10/C24)</f>
        <v>7000</v>
      </c>
      <c r="I10" s="9" t="n">
        <f aca="false">IF(OR(C10="",F10="",C23=""),"",C10*F10/365*C23/100)</f>
        <v>1368.49315068493</v>
      </c>
      <c r="J10" s="12" t="n">
        <f aca="false">IF(E10="","",E10-N(H10)-N(I10))</f>
        <v>95231.5068493151</v>
      </c>
      <c r="K10" s="13" t="n">
        <f aca="false">IF(OR(J10="",C10="",C10=0),"",J10/C10)</f>
        <v>0.51476490188819</v>
      </c>
    </row>
    <row r="11" customFormat="false" ht="18.75" hidden="false" customHeight="true" outlineLevel="0" collapsed="false">
      <c r="B11" s="6" t="s">
        <v>47</v>
      </c>
      <c r="C11" s="7" t="n">
        <v>150000</v>
      </c>
      <c r="D11" s="8" t="n">
        <v>58</v>
      </c>
      <c r="E11" s="9" t="n">
        <f aca="false">IF(OR(C11="",D11=""),"",C11*D11/100)</f>
        <v>87000</v>
      </c>
      <c r="F11" s="10" t="n">
        <v>40</v>
      </c>
      <c r="G11" s="11" t="n">
        <v>125</v>
      </c>
      <c r="H11" s="9" t="n">
        <f aca="false">IF(OR(G11="",C24="",C24=0,C22=""),"",C22*G11/C24)</f>
        <v>5000</v>
      </c>
      <c r="I11" s="9" t="n">
        <f aca="false">IF(OR(C11="",F11="",C23=""),"",C11*F11/365*C23/100)</f>
        <v>986.301369863014</v>
      </c>
      <c r="J11" s="12" t="n">
        <f aca="false">IF(E11="","",E11-N(H11)-N(I11))</f>
        <v>81013.698630137</v>
      </c>
      <c r="K11" s="13" t="n">
        <f aca="false">IF(OR(J11="",C11="",C11=0),"",J11/C11)</f>
        <v>0.540091324200913</v>
      </c>
    </row>
    <row r="12" customFormat="false" ht="18.75" hidden="false" customHeight="true" outlineLevel="0" collapsed="false">
      <c r="B12" s="6" t="s">
        <v>48</v>
      </c>
      <c r="C12" s="7" t="n">
        <v>320000</v>
      </c>
      <c r="D12" s="8" t="n">
        <v>52</v>
      </c>
      <c r="E12" s="9" t="n">
        <f aca="false">IF(OR(C12="",D12=""),"",C12*D12/100)</f>
        <v>166400</v>
      </c>
      <c r="F12" s="10" t="n">
        <v>70</v>
      </c>
      <c r="G12" s="11" t="n">
        <v>650</v>
      </c>
      <c r="H12" s="9" t="n">
        <f aca="false">IF(OR(G12="",C24="",C24=0,C22=""),"",C22*G12/C24)</f>
        <v>26000</v>
      </c>
      <c r="I12" s="9" t="n">
        <f aca="false">IF(OR(C12="",F12="",C23=""),"",C12*F12/365*C23/100)</f>
        <v>3682.19178082192</v>
      </c>
      <c r="J12" s="12" t="n">
        <f aca="false">IF(E12="","",E12-N(H12)-N(I12))</f>
        <v>136717.808219178</v>
      </c>
      <c r="K12" s="13" t="n">
        <f aca="false">IF(OR(J12="",C12="",C12=0),"",J12/C12)</f>
        <v>0.427243150684932</v>
      </c>
    </row>
    <row r="13" customFormat="false" ht="18.75" hidden="false" customHeight="true" outlineLevel="0" collapsed="false">
      <c r="B13" s="6" t="s">
        <v>49</v>
      </c>
      <c r="C13" s="7" t="n">
        <v>300000</v>
      </c>
      <c r="D13" s="8" t="n">
        <v>49</v>
      </c>
      <c r="E13" s="9" t="n">
        <f aca="false">IF(OR(C13="",D13=""),"",C13*D13/100)</f>
        <v>147000</v>
      </c>
      <c r="F13" s="10" t="n">
        <v>105</v>
      </c>
      <c r="G13" s="11" t="n">
        <v>1125</v>
      </c>
      <c r="H13" s="9" t="n">
        <f aca="false">IF(OR(G13="",C24="",C24=0,C22=""),"",C22*G13/C24)</f>
        <v>45000</v>
      </c>
      <c r="I13" s="9" t="n">
        <f aca="false">IF(OR(C13="",F13="",C23=""),"",C13*F13/365*C23/100)</f>
        <v>5178.08219178082</v>
      </c>
      <c r="J13" s="12" t="n">
        <f aca="false">IF(E13="","",E13-N(H13)-N(I13))</f>
        <v>96821.9178082192</v>
      </c>
      <c r="K13" s="13" t="n">
        <f aca="false">IF(OR(J13="",C13="",C13=0),"",J13/C13)</f>
        <v>0.322739726027397</v>
      </c>
    </row>
    <row r="14" customFormat="false" ht="18.75" hidden="false" customHeight="true" outlineLevel="0" collapsed="false">
      <c r="B14" s="6" t="s">
        <v>50</v>
      </c>
      <c r="C14" s="7" t="n">
        <v>75000</v>
      </c>
      <c r="D14" s="8" t="n">
        <v>36</v>
      </c>
      <c r="E14" s="9" t="n">
        <f aca="false">IF(OR(C14="",D14=""),"",C14*D14/100)</f>
        <v>27000</v>
      </c>
      <c r="F14" s="10" t="n">
        <v>125</v>
      </c>
      <c r="G14" s="11" t="n">
        <v>550</v>
      </c>
      <c r="H14" s="9" t="n">
        <f aca="false">IF(OR(G14="",C24="",C24=0,C22=""),"",C22*G14/C24)</f>
        <v>22000</v>
      </c>
      <c r="I14" s="9" t="n">
        <f aca="false">IF(OR(C14="",F14="",C23=""),"",C14*F14/365*C23/100)</f>
        <v>1541.09589041096</v>
      </c>
      <c r="J14" s="12" t="n">
        <f aca="false">IF(E14="","",E14-N(H14)-N(I14))</f>
        <v>3458.90410958904</v>
      </c>
      <c r="K14" s="13" t="n">
        <f aca="false">IF(OR(J14="",C14="",C14=0),"",J14/C14)</f>
        <v>0.0461187214611872</v>
      </c>
    </row>
    <row r="15" customFormat="false" ht="18.75" hidden="false" customHeight="true" outlineLevel="0" collapsed="false">
      <c r="B15" s="6" t="s">
        <v>51</v>
      </c>
      <c r="C15" s="7" t="n">
        <v>60000</v>
      </c>
      <c r="D15" s="8" t="n">
        <v>3</v>
      </c>
      <c r="E15" s="9" t="n">
        <f aca="false">IF(OR(C15="",D15=""),"",C15*D15/100)</f>
        <v>1800</v>
      </c>
      <c r="F15" s="10" t="n">
        <v>145</v>
      </c>
      <c r="G15" s="11" t="n">
        <v>650</v>
      </c>
      <c r="H15" s="9" t="n">
        <f aca="false">IF(OR(G15="",C24="",C24=0,C22=""),"",C22*G15/C24)</f>
        <v>26000</v>
      </c>
      <c r="I15" s="9" t="n">
        <f aca="false">IF(OR(C15="",F15="",C23=""),"",C15*F15/365*C23/100)</f>
        <v>1430.13698630137</v>
      </c>
      <c r="J15" s="12" t="n">
        <f aca="false">IF(E15="","",E15-N(H15)-N(I15))</f>
        <v>-25630.1369863014</v>
      </c>
      <c r="K15" s="13" t="n">
        <f aca="false">IF(OR(J15="",C15="",C15=0),"",J15/C15)</f>
        <v>-0.427168949771689</v>
      </c>
    </row>
    <row r="16" customFormat="false" ht="18.75" hidden="false" customHeight="true" outlineLevel="0" collapsed="false">
      <c r="B16" s="6"/>
      <c r="C16" s="7"/>
      <c r="D16" s="8"/>
      <c r="E16" s="9" t="str">
        <f aca="false">IF(OR(C16="",D16=""),"",C16*D16/100)</f>
        <v/>
      </c>
      <c r="F16" s="10"/>
      <c r="G16" s="11"/>
      <c r="H16" s="9" t="str">
        <f aca="false">IF(OR(G16="",C24="",C24=0,C22=""),"",C22*G16/C24)</f>
        <v/>
      </c>
      <c r="I16" s="9" t="str">
        <f aca="false">IF(OR(C16="",F16="",C23=""),"",C16*F16/365*C23/100)</f>
        <v/>
      </c>
      <c r="J16" s="12" t="str">
        <f aca="false">IF(E16="","",E16-N(H16)-N(I16))</f>
        <v/>
      </c>
      <c r="K16" s="13" t="str">
        <f aca="false">IF(OR(J16="",C16="",C16=0),"",J16/C16)</f>
        <v/>
      </c>
    </row>
    <row r="17" customFormat="false" ht="18.75" hidden="false" customHeight="true" outlineLevel="0" collapsed="false">
      <c r="B17" s="6"/>
      <c r="C17" s="7"/>
      <c r="D17" s="8"/>
      <c r="E17" s="9" t="str">
        <f aca="false">IF(OR(C17="",D17=""),"",C17*D17/100)</f>
        <v/>
      </c>
      <c r="F17" s="10"/>
      <c r="G17" s="11"/>
      <c r="H17" s="9" t="str">
        <f aca="false">IF(OR(G17="",C24="",C24=0,C22=""),"",C22*G17/C24)</f>
        <v/>
      </c>
      <c r="I17" s="9" t="str">
        <f aca="false">IF(OR(C17="",F17="",C23=""),"",C17*F17/365*C23/100)</f>
        <v/>
      </c>
      <c r="J17" s="12" t="str">
        <f aca="false">IF(E17="","",E17-N(H17)-N(I17))</f>
        <v/>
      </c>
      <c r="K17" s="13" t="str">
        <f aca="false">IF(OR(J17="",C17="",C17=0),"",J17/C17)</f>
        <v/>
      </c>
    </row>
    <row r="18" customFormat="false" ht="19.5" hidden="false" customHeight="true" outlineLevel="0" collapsed="false">
      <c r="B18" s="14" t="s">
        <v>13</v>
      </c>
      <c r="C18" s="15" t="n">
        <f aca="false">IF(COUNT(C8:C17)=0,"",SUM(C8:C17))</f>
        <v>1680000</v>
      </c>
      <c r="D18" s="16" t="n">
        <f aca="false">IF(OR(C18="",C18=0,E18=""),"",E18/C18)</f>
        <v>0.449880952380952</v>
      </c>
      <c r="E18" s="15" t="n">
        <f aca="false">IF(COUNT(E8:E17)=0,"",SUM(E8:E17))</f>
        <v>755800</v>
      </c>
      <c r="F18" s="17" t="n">
        <f aca="false">IF(OR(C18="",C18=0,COUNT(F8:F17)=0),"",SUMPRODUCT(C8:C17,F8:F17)/C18)</f>
        <v>84.9404761904762</v>
      </c>
      <c r="G18" s="18" t="n">
        <f aca="false">IF(COUNT(G8:G17)=0,"",SUM(G8:G17))</f>
        <v>4050</v>
      </c>
      <c r="H18" s="15" t="n">
        <f aca="false">IF(COUNT(H8:H17)=0,"",SUM(H8:H17))</f>
        <v>162000</v>
      </c>
      <c r="I18" s="15" t="n">
        <f aca="false">IF(COUNT(I8:I17)=0,"",SUM(I8:I17))</f>
        <v>23457.5342465753</v>
      </c>
      <c r="J18" s="15" t="n">
        <f aca="false">IF(COUNT(J8:J17)=0,"",SUM(J8:J17))</f>
        <v>570342.465753425</v>
      </c>
      <c r="K18" s="16" t="n">
        <f aca="false">IF(OR(J18="",C18="",C18=0),"",J18/C18)</f>
        <v>0.339489562948467</v>
      </c>
    </row>
    <row r="20" customFormat="false" ht="24" hidden="false" customHeight="true" outlineLevel="0" collapsed="false">
      <c r="B20" s="19" t="s">
        <v>14</v>
      </c>
    </row>
    <row r="21" customFormat="false" ht="31.5" hidden="false" customHeight="true" outlineLevel="0" collapsed="false">
      <c r="B21" s="4" t="s">
        <v>15</v>
      </c>
      <c r="C21" s="5" t="s">
        <v>16</v>
      </c>
      <c r="D21" s="5" t="s">
        <v>17</v>
      </c>
      <c r="E21" s="5" t="s">
        <v>18</v>
      </c>
    </row>
    <row r="22" customFormat="false" ht="34.5" hidden="false" customHeight="true" outlineLevel="0" collapsed="false">
      <c r="B22" s="20" t="s">
        <v>19</v>
      </c>
      <c r="C22" s="7" t="n">
        <v>162000</v>
      </c>
    </row>
    <row r="23" customFormat="false" ht="34.5" hidden="false" customHeight="true" outlineLevel="0" collapsed="false">
      <c r="B23" s="20" t="s">
        <v>20</v>
      </c>
      <c r="C23" s="8" t="n">
        <v>6</v>
      </c>
    </row>
    <row r="24" customFormat="false" ht="34.5" hidden="false" customHeight="true" outlineLevel="0" collapsed="false">
      <c r="B24" s="20" t="s">
        <v>21</v>
      </c>
      <c r="C24" s="21" t="n">
        <f aca="false">IF(G18="","",G18)</f>
        <v>4050</v>
      </c>
    </row>
    <row r="25" customFormat="false" ht="34.5" hidden="false" customHeight="true" outlineLevel="0" collapsed="false">
      <c r="B25" s="20" t="s">
        <v>22</v>
      </c>
      <c r="C25" s="22" t="n">
        <f aca="false">IF(OR(C22="",C24="",C24=0),"",C22/C24)</f>
        <v>40</v>
      </c>
    </row>
    <row r="26" customFormat="false" ht="34.5" hidden="false" customHeight="true" outlineLevel="0" collapsed="false">
      <c r="B26" s="20" t="s">
        <v>23</v>
      </c>
      <c r="C26" s="9" t="n">
        <f aca="false">IF(OR(C18="",F18=""),"",C18*F18/365)</f>
        <v>390958.904109589</v>
      </c>
    </row>
    <row r="27" customFormat="false" ht="34.5" hidden="false" customHeight="true" outlineLevel="0" collapsed="false">
      <c r="B27" s="20" t="s">
        <v>24</v>
      </c>
      <c r="C27" s="7" t="n">
        <v>392000</v>
      </c>
    </row>
    <row r="28" customFormat="false" ht="34.5" hidden="false" customHeight="true" outlineLevel="0" collapsed="false">
      <c r="B28" s="23" t="s">
        <v>25</v>
      </c>
      <c r="C28" s="12" t="n">
        <f aca="false">IF(OR(C26="",C27=""),"",C26-C27)</f>
        <v>-1041.09589041094</v>
      </c>
    </row>
    <row r="30" customFormat="false" ht="24" hidden="false" customHeight="true" outlineLevel="0" collapsed="false">
      <c r="B30" s="19" t="s">
        <v>26</v>
      </c>
    </row>
    <row r="31" customFormat="false" ht="36" hidden="false" customHeight="true" outlineLevel="0" collapsed="false">
      <c r="B31" s="4" t="s">
        <v>27</v>
      </c>
      <c r="C31" s="5" t="s">
        <v>11</v>
      </c>
      <c r="D31" s="5" t="s">
        <v>28</v>
      </c>
      <c r="E31" s="5" t="s">
        <v>29</v>
      </c>
    </row>
    <row r="32" customFormat="false" ht="18.75" hidden="false" customHeight="true" outlineLevel="0" collapsed="false">
      <c r="B32" s="24" t="str">
        <f aca="false">IFERROR(INDEX(B8:B17,MATCH(C32,J8:J17,0)),"")</f>
        <v>8 clientes medianos</v>
      </c>
      <c r="C32" s="9" t="n">
        <f aca="false">IFERROR(LARGE(J8:J17,1),"")</f>
        <v>136717.808219178</v>
      </c>
      <c r="D32" s="9" t="n">
        <f aca="false">IF(C32="","",C32)</f>
        <v>136717.808219178</v>
      </c>
      <c r="E32" s="25" t="n">
        <f aca="false">IF(OR(D32="",J18="",J18=0),"",D32/J18)</f>
        <v>0.239711780953525</v>
      </c>
    </row>
    <row r="33" customFormat="false" ht="18.75" hidden="false" customHeight="true" outlineLevel="0" collapsed="false">
      <c r="B33" s="24" t="str">
        <f aca="false">IFERROR(INDEX(B8:B17,MATCH(C33,J8:J17,0)),"")</f>
        <v>B · industria</v>
      </c>
      <c r="C33" s="9" t="n">
        <f aca="false">IFERROR(LARGE(J8:J17,2),"")</f>
        <v>120632.876712329</v>
      </c>
      <c r="D33" s="9" t="n">
        <f aca="false">IF(C33="","",N(D32)+C33)</f>
        <v>257350.684931507</v>
      </c>
      <c r="E33" s="25" t="n">
        <f aca="false">IF(OR(D33="",J18="",J18=0),"",D33/J18)</f>
        <v>0.451221328209439</v>
      </c>
    </row>
    <row r="34" customFormat="false" ht="18.75" hidden="false" customHeight="true" outlineLevel="0" collapsed="false">
      <c r="B34" s="24" t="str">
        <f aca="false">IFERROR(INDEX(B8:B17,MATCH(C34,J8:J17,0)),"")</f>
        <v>28 clientes habituales</v>
      </c>
      <c r="C34" s="9" t="n">
        <f aca="false">IFERROR(LARGE(J8:J17,3),"")</f>
        <v>96821.9178082192</v>
      </c>
      <c r="D34" s="9" t="n">
        <f aca="false">IF(C34="","",N(D33)+C34)</f>
        <v>354172.602739726</v>
      </c>
      <c r="E34" s="25" t="n">
        <f aca="false">IF(OR(D34="",J18="",J18=0),"",D34/J18)</f>
        <v>0.620982346583404</v>
      </c>
    </row>
    <row r="35" customFormat="false" ht="18.75" hidden="false" customHeight="true" outlineLevel="0" collapsed="false">
      <c r="B35" s="24" t="str">
        <f aca="false">IFERROR(INDEX(B8:B17,MATCH(C35,J8:J17,0)),"")</f>
        <v>C · mantenimiento</v>
      </c>
      <c r="C35" s="9" t="n">
        <f aca="false">IFERROR(LARGE(J8:J17,4),"")</f>
        <v>95231.5068493151</v>
      </c>
      <c r="D35" s="9" t="n">
        <f aca="false">IF(C35="","",N(D34)+C35)</f>
        <v>449404.109589041</v>
      </c>
      <c r="E35" s="25" t="n">
        <f aca="false">IF(OR(D35="",J18="",J18=0),"",D35/J18)</f>
        <v>0.787954845682719</v>
      </c>
    </row>
    <row r="36" customFormat="false" ht="18.75" hidden="false" customHeight="true" outlineLevel="0" collapsed="false">
      <c r="B36" s="24" t="str">
        <f aca="false">IFERROR(INDEX(B8:B17,MATCH(C36,J8:J17,0)),"")</f>
        <v>D · reformas</v>
      </c>
      <c r="C36" s="9" t="n">
        <f aca="false">IFERROR(LARGE(J8:J17,5),"")</f>
        <v>81013.698630137</v>
      </c>
      <c r="D36" s="9" t="n">
        <f aca="false">IF(C36="","",N(D35)+C36)</f>
        <v>530417.808219178</v>
      </c>
      <c r="E36" s="25" t="n">
        <f aca="false">IF(OR(D36="",J18="",J18=0),"",D36/J18)</f>
        <v>0.929998799087306</v>
      </c>
    </row>
    <row r="37" customFormat="false" ht="18.75" hidden="false" customHeight="true" outlineLevel="0" collapsed="false">
      <c r="B37" s="24" t="str">
        <f aca="false">IFERROR(INDEX(B8:B17,MATCH(C37,J8:J17,0)),"")</f>
        <v>A · constructora</v>
      </c>
      <c r="C37" s="9" t="n">
        <f aca="false">IFERROR(LARGE(J8:J17,6),"")</f>
        <v>62095.8904109589</v>
      </c>
      <c r="D37" s="9" t="n">
        <f aca="false">IF(C37="","",N(D36)+C37)</f>
        <v>592513.698630137</v>
      </c>
      <c r="E37" s="25" t="n">
        <f aca="false">IF(OR(D37="",J18="",J18=0),"",D37/J18)</f>
        <v>1.03887354389336</v>
      </c>
    </row>
    <row r="38" customFormat="false" ht="18.75" hidden="false" customHeight="true" outlineLevel="0" collapsed="false">
      <c r="B38" s="24" t="str">
        <f aca="false">IFERROR(INDEX(B8:B17,MATCH(C38,J8:J17,0)),"")</f>
        <v>13 clientes pequeños</v>
      </c>
      <c r="C38" s="9" t="n">
        <f aca="false">IFERROR(LARGE(J8:J17,7),"")</f>
        <v>3458.90410958904</v>
      </c>
      <c r="D38" s="9" t="n">
        <f aca="false">IF(C38="","",N(D37)+C38)</f>
        <v>595972.602739726</v>
      </c>
      <c r="E38" s="25" t="n">
        <f aca="false">IF(OR(D38="",J18="",J18=0),"",D38/J18)</f>
        <v>1.04493815299628</v>
      </c>
    </row>
    <row r="39" customFormat="false" ht="18.75" hidden="false" customHeight="true" outlineLevel="0" collapsed="false">
      <c r="B39" s="24" t="str">
        <f aca="false">IFERROR(INDEX(B8:B17,MATCH(C39,J8:J17,0)),"")</f>
        <v>11 clientes pequeños</v>
      </c>
      <c r="C39" s="9" t="n">
        <f aca="false">IFERROR(LARGE(J8:J17,8),"")</f>
        <v>-25630.1369863014</v>
      </c>
      <c r="D39" s="9" t="n">
        <f aca="false">IF(C39="","",N(D38)+C39)</f>
        <v>570342.465753425</v>
      </c>
      <c r="E39" s="25" t="n">
        <f aca="false">IF(OR(D39="",J18="",J18=0),"",D39/J18)</f>
        <v>1</v>
      </c>
    </row>
    <row r="40" customFormat="false" ht="18.75" hidden="false" customHeight="true" outlineLevel="0" collapsed="false">
      <c r="B40" s="24" t="n">
        <f aca="false">IFERROR(INDEX(B8:B17,MATCH(C40,J8:J17,0)),"")</f>
        <v>0</v>
      </c>
      <c r="C40" s="9" t="str">
        <f aca="false">IFERROR(LARGE(J8:J17,9),"")</f>
        <v/>
      </c>
      <c r="D40" s="9" t="str">
        <f aca="false">IF(C40="","",N(D39)+C40)</f>
        <v/>
      </c>
      <c r="E40" s="25" t="str">
        <f aca="false">IF(OR(D40="",J18="",J18=0),"",D40/J18)</f>
        <v/>
      </c>
    </row>
    <row r="41" customFormat="false" ht="18.75" hidden="false" customHeight="true" outlineLevel="0" collapsed="false">
      <c r="B41" s="24" t="n">
        <f aca="false">IFERROR(INDEX(B8:B17,MATCH(C41,J8:J17,0)),"")</f>
        <v>0</v>
      </c>
      <c r="C41" s="9" t="str">
        <f aca="false">IFERROR(LARGE(J8:J17,10),"")</f>
        <v/>
      </c>
      <c r="D41" s="9" t="str">
        <f aca="false">IF(C41="","",N(D40)+C41)</f>
        <v/>
      </c>
      <c r="E41" s="25" t="str">
        <f aca="false">IF(OR(D41="",J18="",J18=0),"",D41/J18)</f>
        <v/>
      </c>
    </row>
    <row r="43" customFormat="false" ht="24" hidden="false" customHeight="true" outlineLevel="0" collapsed="false">
      <c r="B43" s="19" t="s">
        <v>30</v>
      </c>
    </row>
    <row r="44" customFormat="false" ht="30" hidden="false" customHeight="true" outlineLevel="0" collapsed="false">
      <c r="B44" s="4" t="s">
        <v>31</v>
      </c>
      <c r="C44" s="5" t="s">
        <v>32</v>
      </c>
      <c r="D44" s="5" t="s">
        <v>33</v>
      </c>
    </row>
    <row r="45" customFormat="false" ht="34.5" hidden="false" customHeight="true" outlineLevel="0" collapsed="false">
      <c r="B45" s="20" t="s">
        <v>34</v>
      </c>
      <c r="C45" s="9" t="n">
        <f aca="false">IF(COUNT(J8:J17)=0,"",SUMIF(J8:J17,"&gt;0"))</f>
        <v>595972.602739726</v>
      </c>
    </row>
    <row r="46" customFormat="false" ht="34.5" hidden="false" customHeight="true" outlineLevel="0" collapsed="false">
      <c r="B46" s="20" t="s">
        <v>35</v>
      </c>
      <c r="C46" s="9" t="n">
        <f aca="false">IF(COUNT(J8:J17)=0,"",SUMIF(J8:J17,"&lt;0"))</f>
        <v>-25630.1369863014</v>
      </c>
      <c r="D46" s="13" t="n">
        <f aca="false">IF(OR(C46="",J18="",J18=0),"",C46/J18)</f>
        <v>-0.0449381529962772</v>
      </c>
    </row>
    <row r="47" customFormat="false" ht="34.5" hidden="false" customHeight="true" outlineLevel="0" collapsed="false">
      <c r="B47" s="20" t="s">
        <v>36</v>
      </c>
      <c r="C47" s="9" t="n">
        <f aca="false">IF(COUNT(J8:J17)=0,"",SUMIF(J8:J17,"&lt;0",C8:C17))</f>
        <v>60000</v>
      </c>
      <c r="D47" s="13" t="n">
        <f aca="false">IF(OR(C47="",C18="",C18=0),"",C47/C18)</f>
        <v>0.0357142857142857</v>
      </c>
    </row>
    <row r="48" customFormat="false" ht="34.5" hidden="false" customHeight="true" outlineLevel="0" collapsed="false">
      <c r="B48" s="26" t="s">
        <v>37</v>
      </c>
      <c r="C48" s="15" t="n">
        <f aca="false">IF(OR(J18="",C46=""),"",J18-C46)</f>
        <v>595972.602739726</v>
      </c>
    </row>
    <row r="49" customFormat="false" ht="34.5" hidden="false" customHeight="true" outlineLevel="0" collapsed="false">
      <c r="B49" s="20" t="s">
        <v>38</v>
      </c>
      <c r="C49" s="9" t="n">
        <f aca="false">IF(COUNT(I8:I17)=0,"",MAX(I8:I17)/N(C23)*100*365/365)</f>
        <v>115068.493150685</v>
      </c>
    </row>
    <row r="51" customFormat="false" ht="15" hidden="false" customHeight="true" outlineLevel="0" collapsed="false">
      <c r="B51" s="27" t="s">
        <v>39</v>
      </c>
      <c r="C51" s="28" t="s">
        <v>40</v>
      </c>
      <c r="D51" s="28"/>
      <c r="E51" s="28" t="s">
        <v>41</v>
      </c>
      <c r="F51" s="28"/>
      <c r="H51" s="28" t="s">
        <v>42</v>
      </c>
      <c r="I51" s="28"/>
      <c r="J51" s="28"/>
    </row>
    <row r="52" customFormat="false" ht="30" hidden="false" customHeight="true" outlineLevel="0" collapsed="false">
      <c r="B52" s="29" t="n">
        <f aca="false">IF(J18="","",J18)</f>
        <v>570342.465753425</v>
      </c>
      <c r="C52" s="30" t="n">
        <f aca="false">IF(C46="","",C46)</f>
        <v>-25630.1369863014</v>
      </c>
      <c r="D52" s="30"/>
      <c r="E52" s="31" t="n">
        <f aca="false">IF(COUNT(E32:E41)=0,"",MAX(E32:E41))</f>
        <v>1.04493815299628</v>
      </c>
      <c r="F52" s="31"/>
      <c r="H52" s="32" t="n">
        <f aca="false">IF(C26="","",C26)</f>
        <v>390958.904109589</v>
      </c>
      <c r="I52" s="32"/>
      <c r="J52" s="32"/>
    </row>
  </sheetData>
  <sheetProtection sheet="true"/>
  <mergeCells count="7">
    <mergeCell ref="B4:K4"/>
    <mergeCell ref="C51:D51"/>
    <mergeCell ref="E51:F51"/>
    <mergeCell ref="H51:J51"/>
    <mergeCell ref="C52:D52"/>
    <mergeCell ref="E52:F52"/>
    <mergeCell ref="H52:J52"/>
  </mergeCells>
  <conditionalFormatting sqref="J8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J9">
    <cfRule type="cellIs" priority="4" operator="greaterThanOrEqual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conditionalFormatting sqref="J10">
    <cfRule type="cellIs" priority="6" operator="greaterThanOrEqual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conditionalFormatting sqref="J11">
    <cfRule type="cellIs" priority="8" operator="greaterThanOrEqual" aboveAverage="0" equalAverage="0" bottom="0" percent="0" rank="0" text="" dxfId="0">
      <formula>0</formula>
    </cfRule>
    <cfRule type="cellIs" priority="9" operator="lessThan" aboveAverage="0" equalAverage="0" bottom="0" percent="0" rank="0" text="" dxfId="1">
      <formula>0</formula>
    </cfRule>
  </conditionalFormatting>
  <conditionalFormatting sqref="J12">
    <cfRule type="cellIs" priority="10" operator="greaterThanOrEqual" aboveAverage="0" equalAverage="0" bottom="0" percent="0" rank="0" text="" dxfId="0">
      <formula>0</formula>
    </cfRule>
    <cfRule type="cellIs" priority="11" operator="lessThan" aboveAverage="0" equalAverage="0" bottom="0" percent="0" rank="0" text="" dxfId="1">
      <formula>0</formula>
    </cfRule>
  </conditionalFormatting>
  <conditionalFormatting sqref="J13">
    <cfRule type="cellIs" priority="12" operator="greaterThanOrEqual" aboveAverage="0" equalAverage="0" bottom="0" percent="0" rank="0" text="" dxfId="0">
      <formula>0</formula>
    </cfRule>
    <cfRule type="cellIs" priority="13" operator="lessThan" aboveAverage="0" equalAverage="0" bottom="0" percent="0" rank="0" text="" dxfId="1">
      <formula>0</formula>
    </cfRule>
  </conditionalFormatting>
  <conditionalFormatting sqref="J14">
    <cfRule type="cellIs" priority="14" operator="greaterThanOrEqual" aboveAverage="0" equalAverage="0" bottom="0" percent="0" rank="0" text="" dxfId="0">
      <formula>0</formula>
    </cfRule>
    <cfRule type="cellIs" priority="15" operator="lessThan" aboveAverage="0" equalAverage="0" bottom="0" percent="0" rank="0" text="" dxfId="1">
      <formula>0</formula>
    </cfRule>
  </conditionalFormatting>
  <conditionalFormatting sqref="J15">
    <cfRule type="cellIs" priority="16" operator="greaterThanOrEqual" aboveAverage="0" equalAverage="0" bottom="0" percent="0" rank="0" text="" dxfId="0">
      <formula>0</formula>
    </cfRule>
    <cfRule type="cellIs" priority="17" operator="lessThan" aboveAverage="0" equalAverage="0" bottom="0" percent="0" rank="0" text="" dxfId="1">
      <formula>0</formula>
    </cfRule>
  </conditionalFormatting>
  <conditionalFormatting sqref="J16">
    <cfRule type="cellIs" priority="18" operator="greaterThanOrEqual" aboveAverage="0" equalAverage="0" bottom="0" percent="0" rank="0" text="" dxfId="0">
      <formula>0</formula>
    </cfRule>
    <cfRule type="cellIs" priority="19" operator="lessThan" aboveAverage="0" equalAverage="0" bottom="0" percent="0" rank="0" text="" dxfId="1">
      <formula>0</formula>
    </cfRule>
  </conditionalFormatting>
  <conditionalFormatting sqref="J17">
    <cfRule type="cellIs" priority="20" operator="greaterThanOrEqual" aboveAverage="0" equalAverage="0" bottom="0" percent="0" rank="0" text="" dxfId="0">
      <formula>0</formula>
    </cfRule>
    <cfRule type="cellIs" priority="21" operator="lessThan" aboveAverage="0" equalAverage="0" bottom="0" percent="0" rank="0" text="" dxfId="1">
      <formula>0</formula>
    </cfRule>
  </conditionalFormatting>
  <conditionalFormatting sqref="C46">
    <cfRule type="cellIs" priority="22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4" t="s">
        <v>52</v>
      </c>
    </row>
    <row r="5" customFormat="false" ht="24" hidden="false" customHeight="true" outlineLevel="0" collapsed="false">
      <c r="B5" s="19" t="s">
        <v>53</v>
      </c>
    </row>
    <row r="6" customFormat="false" ht="60" hidden="false" customHeight="true" outlineLevel="0" collapsed="false">
      <c r="B6" s="35" t="s">
        <v>54</v>
      </c>
      <c r="C6" s="35"/>
    </row>
    <row r="8" customFormat="false" ht="24" hidden="false" customHeight="true" outlineLevel="0" collapsed="false">
      <c r="B8" s="19" t="s">
        <v>55</v>
      </c>
    </row>
    <row r="9" customFormat="false" ht="30" hidden="false" customHeight="true" outlineLevel="0" collapsed="false">
      <c r="B9" s="35" t="s">
        <v>56</v>
      </c>
      <c r="C9" s="35"/>
    </row>
    <row r="10" customFormat="false" ht="30" hidden="false" customHeight="true" outlineLevel="0" collapsed="false">
      <c r="B10" s="35" t="s">
        <v>57</v>
      </c>
      <c r="C10" s="35"/>
    </row>
    <row r="11" customFormat="false" ht="45" hidden="false" customHeight="true" outlineLevel="0" collapsed="false">
      <c r="B11" s="35" t="s">
        <v>58</v>
      </c>
      <c r="C11" s="35"/>
    </row>
    <row r="12" customFormat="false" ht="30" hidden="false" customHeight="true" outlineLevel="0" collapsed="false">
      <c r="B12" s="35" t="s">
        <v>59</v>
      </c>
      <c r="C12" s="35"/>
    </row>
    <row r="13" customFormat="false" ht="30" hidden="false" customHeight="true" outlineLevel="0" collapsed="false">
      <c r="B13" s="35" t="s">
        <v>60</v>
      </c>
      <c r="C13" s="35"/>
    </row>
    <row r="15" customFormat="false" ht="24" hidden="false" customHeight="true" outlineLevel="0" collapsed="false">
      <c r="B15" s="19" t="s">
        <v>61</v>
      </c>
    </row>
    <row r="16" customFormat="false" ht="30" hidden="false" customHeight="true" outlineLevel="0" collapsed="false">
      <c r="B16" s="35" t="s">
        <v>62</v>
      </c>
      <c r="C16" s="35"/>
    </row>
    <row r="17" customFormat="false" ht="30" hidden="false" customHeight="true" outlineLevel="0" collapsed="false">
      <c r="B17" s="35" t="s">
        <v>63</v>
      </c>
      <c r="C17" s="35"/>
    </row>
    <row r="18" customFormat="false" ht="45" hidden="false" customHeight="true" outlineLevel="0" collapsed="false">
      <c r="B18" s="35" t="s">
        <v>64</v>
      </c>
      <c r="C18" s="35"/>
    </row>
    <row r="19" customFormat="false" ht="30" hidden="false" customHeight="true" outlineLevel="0" collapsed="false">
      <c r="B19" s="35" t="s">
        <v>65</v>
      </c>
      <c r="C19" s="35"/>
    </row>
    <row r="20" customFormat="false" ht="45" hidden="false" customHeight="true" outlineLevel="0" collapsed="false">
      <c r="B20" s="35" t="s">
        <v>66</v>
      </c>
      <c r="C20" s="35"/>
    </row>
    <row r="22" customFormat="false" ht="24" hidden="false" customHeight="true" outlineLevel="0" collapsed="false">
      <c r="B22" s="19" t="s">
        <v>67</v>
      </c>
    </row>
    <row r="23" customFormat="false" ht="30" hidden="false" customHeight="true" outlineLevel="0" collapsed="false">
      <c r="B23" s="35" t="s">
        <v>68</v>
      </c>
      <c r="C23" s="35"/>
    </row>
    <row r="24" customFormat="false" ht="30" hidden="false" customHeight="true" outlineLevel="0" collapsed="false">
      <c r="B24" s="35" t="s">
        <v>69</v>
      </c>
      <c r="C24" s="35"/>
    </row>
    <row r="25" customFormat="false" ht="45" hidden="false" customHeight="true" outlineLevel="0" collapsed="false">
      <c r="B25" s="35" t="s">
        <v>70</v>
      </c>
      <c r="C25" s="35"/>
    </row>
    <row r="26" customFormat="false" ht="30" hidden="false" customHeight="true" outlineLevel="0" collapsed="false">
      <c r="B26" s="35" t="s">
        <v>71</v>
      </c>
      <c r="C26" s="35"/>
    </row>
    <row r="28" customFormat="false" ht="24" hidden="false" customHeight="true" outlineLevel="0" collapsed="false">
      <c r="B28" s="36" t="s">
        <v>72</v>
      </c>
    </row>
    <row r="29" customFormat="false" ht="105" hidden="false" customHeight="true" outlineLevel="0" collapsed="false">
      <c r="B29" s="37" t="s">
        <v>73</v>
      </c>
      <c r="C29" s="37"/>
    </row>
    <row r="31" customFormat="false" ht="24" hidden="false" customHeight="true" outlineLevel="0" collapsed="false">
      <c r="B31" s="19" t="s">
        <v>74</v>
      </c>
    </row>
    <row r="32" customFormat="false" ht="19.5" hidden="false" customHeight="true" outlineLevel="0" collapsed="false">
      <c r="B32" s="38" t="s">
        <v>75</v>
      </c>
      <c r="C32" s="38"/>
    </row>
    <row r="33" customFormat="false" ht="19.5" hidden="false" customHeight="true" outlineLevel="0" collapsed="false">
      <c r="B33" s="39" t="s">
        <v>76</v>
      </c>
      <c r="C33" s="39"/>
    </row>
    <row r="34" customFormat="false" ht="19.5" hidden="false" customHeight="true" outlineLevel="0" collapsed="false">
      <c r="B34" s="40" t="s">
        <v>77</v>
      </c>
      <c r="C34" s="40"/>
    </row>
  </sheetData>
  <sheetProtection sheet="true"/>
  <mergeCells count="19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3:C23"/>
    <mergeCell ref="B24:C24"/>
    <mergeCell ref="B25:C25"/>
    <mergeCell ref="B26:C26"/>
    <mergeCell ref="B29:C29"/>
    <mergeCell ref="B32:C32"/>
    <mergeCell ref="B33:C33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2026-09-10T12:23:59Z</dcterms:created>
  <dc:creator>openpyxl</dc:creator>
  <dc:description/>
  <dc:language>en-US</dc:language>
  <cp:lastModifiedBy/>
  <dcterms:modified xsi:type="dcterms:W3CDTF">2026-09-10T12:23:59Z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